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R&amp;D" sheetId="1" r:id="rId1"/>
    <sheet name="Notes" sheetId="2" r:id="rId2"/>
  </sheets>
  <definedNames>
    <definedName name="_xlnm.Print_Area" localSheetId="1">'Notes'!$C$1:$J$47</definedName>
    <definedName name="_xlnm.Print_Area" localSheetId="0">'R&amp;D'!$C$1:$K$93</definedName>
    <definedName name="_xlnm.Print_Titles" localSheetId="0">'R&amp;D'!$1:$11</definedName>
  </definedNames>
  <calcPr fullCalcOnLoad="1"/>
</workbook>
</file>

<file path=xl/sharedStrings.xml><?xml version="1.0" encoding="utf-8"?>
<sst xmlns="http://schemas.openxmlformats.org/spreadsheetml/2006/main" count="128" uniqueCount="116">
  <si>
    <t>IN THE MATTER OF THE RECEIVERSHIP OF</t>
  </si>
  <si>
    <t>BUCKINGHAM SECURITIES CORPORATION</t>
  </si>
  <si>
    <t>STATEMENT OF RECEIPTS AND DISBURSEMENTS</t>
  </si>
  <si>
    <t xml:space="preserve">INTERIM </t>
  </si>
  <si>
    <t>RECEIPTS:</t>
  </si>
  <si>
    <t>Term deposit (GIC)</t>
  </si>
  <si>
    <t>Caldwell Securities</t>
  </si>
  <si>
    <t>Larentian Bank</t>
  </si>
  <si>
    <t>Nesbitt Burns</t>
  </si>
  <si>
    <t>B2B Trust</t>
  </si>
  <si>
    <t>Principals:</t>
  </si>
  <si>
    <t>Desjardins/Rampart</t>
  </si>
  <si>
    <t>Exchg Rate</t>
  </si>
  <si>
    <t>Cash on Hand:</t>
  </si>
  <si>
    <t>Receivables:</t>
  </si>
  <si>
    <t>Norman Frydrych</t>
  </si>
  <si>
    <t>Miscellaneous income &amp; refunds</t>
  </si>
  <si>
    <t>Interest</t>
  </si>
  <si>
    <t>Sale of furniture and equipment:</t>
  </si>
  <si>
    <t>Gross recovery</t>
  </si>
  <si>
    <t>Commission</t>
  </si>
  <si>
    <t>Expenses</t>
  </si>
  <si>
    <t>Total Receipts</t>
  </si>
  <si>
    <t>Advertising</t>
  </si>
  <si>
    <t>Other receivables</t>
  </si>
  <si>
    <t>Broker receivables:</t>
  </si>
  <si>
    <t>CDN client trust account</t>
  </si>
  <si>
    <t>USD client trust account</t>
  </si>
  <si>
    <t>USD general account</t>
  </si>
  <si>
    <t>CCRA deemed trust claim (source deductions)</t>
  </si>
  <si>
    <t>Other Assets and Recoveries:</t>
  </si>
  <si>
    <t>DISBURSEMENTS:</t>
  </si>
  <si>
    <t>Change locks</t>
  </si>
  <si>
    <t>Insurance</t>
  </si>
  <si>
    <t>Postage</t>
  </si>
  <si>
    <t>Photocopies</t>
  </si>
  <si>
    <t>Appraisal fees</t>
  </si>
  <si>
    <t>Storage/moving</t>
  </si>
  <si>
    <t>Travel</t>
  </si>
  <si>
    <t>ISM System charges (IBM)</t>
  </si>
  <si>
    <t>GST paid</t>
  </si>
  <si>
    <t>Delivery/coureir</t>
  </si>
  <si>
    <t>Occupancy lease costs</t>
  </si>
  <si>
    <t>Payroll</t>
  </si>
  <si>
    <t>Bank charges</t>
  </si>
  <si>
    <t>Collection fees</t>
  </si>
  <si>
    <t>ADP T4 payroll processing fee</t>
  </si>
  <si>
    <t>Solicitor's fees - Blake, Cassels</t>
  </si>
  <si>
    <t>Professional services (MB &amp; Associates Inc.)</t>
  </si>
  <si>
    <t>Total Disbursements</t>
  </si>
  <si>
    <t xml:space="preserve">RECEIPTS OVER DISBURSEMENTS </t>
  </si>
  <si>
    <t>Notes:</t>
  </si>
  <si>
    <t>[1]</t>
  </si>
  <si>
    <t>[2]</t>
  </si>
  <si>
    <t>[3]</t>
  </si>
  <si>
    <t>The Receiver has received an invoice from Brian Sutton of Cassels Brock</t>
  </si>
  <si>
    <t>of approximately $20,972.</t>
  </si>
  <si>
    <t>[4]</t>
  </si>
  <si>
    <t xml:space="preserve">The Receiver may receive approximately $286,000 through a settlement with </t>
  </si>
  <si>
    <t>Lions Gate Management in relation to the indebtedness of South Florida Corp.</t>
  </si>
  <si>
    <t>[5]</t>
  </si>
  <si>
    <t>Balance Owing</t>
  </si>
  <si>
    <t>Cash &amp; Securities</t>
  </si>
  <si>
    <t>Net Equity</t>
  </si>
  <si>
    <t>Valuation Date</t>
  </si>
  <si>
    <t>Totals</t>
  </si>
  <si>
    <t xml:space="preserve">Broker </t>
  </si>
  <si>
    <t>Based on an analysis completed by HSBC Securities the Receiver is advised that approximately</t>
  </si>
  <si>
    <t>Assets:</t>
  </si>
  <si>
    <t>Mediation fees</t>
  </si>
  <si>
    <t>Solicitor's fees - McInnes Cooper</t>
  </si>
  <si>
    <t>W.D. Latimer to be between $700,000 and $2,000,000, excluding interest charges.</t>
  </si>
  <si>
    <t>of the City of Toronto, in the Province of Ontario.</t>
  </si>
  <si>
    <t>Estate No. 31-392486</t>
  </si>
  <si>
    <t>Safekeeping, administration fees - Royal Trust Corporation</t>
  </si>
  <si>
    <t>[6]</t>
  </si>
  <si>
    <t>RBC - CDN Gen</t>
  </si>
  <si>
    <t>RBC - USD Gen</t>
  </si>
  <si>
    <t>RBC - W.D. Latimer</t>
  </si>
  <si>
    <t>HSBC - CDN Cash</t>
  </si>
  <si>
    <t xml:space="preserve">approximately $2,000,000 is being appealed by the Receiver.  The Receiver estimates the claim of </t>
  </si>
  <si>
    <t xml:space="preserve">The Court's decision re entitlement to securities held by W.D. Latimer to cover its indebtedness of </t>
  </si>
  <si>
    <t>Securities.</t>
  </si>
  <si>
    <t>Settlement - South Florida</t>
  </si>
  <si>
    <t>CDN general account</t>
  </si>
  <si>
    <t>Registration Fees</t>
  </si>
  <si>
    <t>Search Fees</t>
  </si>
  <si>
    <t>Solicitor's fees - Halperin &amp; Associates</t>
  </si>
  <si>
    <t>Bear Stearns in CDN$</t>
  </si>
  <si>
    <t>Canaccord Capital in US$</t>
  </si>
  <si>
    <t>*1</t>
  </si>
  <si>
    <t>*2</t>
  </si>
  <si>
    <t>Consulting fees (Brian Sutton-Cassels Brock)</t>
  </si>
  <si>
    <t>Settlement - Ernest Getz</t>
  </si>
  <si>
    <t>The Balance Owing is estimated</t>
  </si>
  <si>
    <t xml:space="preserve">Settlement re future sale of Chancellor Enterprise shares </t>
  </si>
  <si>
    <t>December 31 2003</t>
  </si>
  <si>
    <t>Exchange Rate of $US/$CDN =$1.295 used in conversion</t>
  </si>
  <si>
    <t>It should be noted that quoted values for "penny stocks" may greatly exceed liquidation values,</t>
  </si>
  <si>
    <t>$4,246,437 may be greatly overstated to the point where realizable liquidation values could well</t>
  </si>
  <si>
    <t>be insufficient to discharge the costs of the receivership.</t>
  </si>
  <si>
    <t>[7]</t>
  </si>
  <si>
    <t xml:space="preserve">11 to over 180 days to realize on.  </t>
  </si>
  <si>
    <t xml:space="preserve">75% of the portfolio of the securities is illiquid securities ("penny stocks") and may take between </t>
  </si>
  <si>
    <t xml:space="preserve">especially where large blocks of shares are held.  Accordingly, the estimated net equity of </t>
  </si>
  <si>
    <t xml:space="preserve">former shut down its institutional sales department in Canada.  Mutual funds are still held at  HSBC </t>
  </si>
  <si>
    <t xml:space="preserve">All securities held by HSBC Securities were transferred over to RBC Global Services when the </t>
  </si>
  <si>
    <t xml:space="preserve">The Receiver has received invoices from Blake Cassels for legal services rendered up to </t>
  </si>
  <si>
    <r>
      <t>August 20,</t>
    </r>
    <r>
      <rPr>
        <sz val="10"/>
        <rFont val="Arial"/>
        <family val="2"/>
      </rPr>
      <t xml:space="preserve"> 2003 </t>
    </r>
    <r>
      <rPr>
        <sz val="10"/>
        <rFont val="Arial"/>
        <family val="0"/>
      </rPr>
      <t>that total $272,748.07 and remain unpaid.</t>
    </r>
  </si>
  <si>
    <t>inclusive of GST of $21,684.94.</t>
  </si>
  <si>
    <t>BDO Dunwoody Limited has unbilled and unpaid fees as of January 18, 2003 of $331,469.82</t>
  </si>
  <si>
    <t>Consulting &amp; Receiver's fees - BDO Dunwoody Limited</t>
  </si>
  <si>
    <t>Retainer - re: professional fees</t>
  </si>
  <si>
    <t>Appendix "E"</t>
  </si>
  <si>
    <t>for the period July 26, 2001 to  January 19, 2004</t>
  </si>
  <si>
    <t>Exchange Rate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</si>
</sst>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_-* #,##0.0000_-;\-* #,##0.0000_-;_-* &quot;-&quot;??_-;_-@_-"/>
    <numFmt numFmtId="176" formatCode="_(* #,##0.0_);_(* \(#,##0.0\);_(* &quot;-&quot;??_);_(@_)"/>
    <numFmt numFmtId="177" formatCode="_(* #,##0_);_(* \(#,##0\);_(* &quot;-&quot;??_);_(@_)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(* #,##0.0000_);_(* \(#,##0.0000\);_(* &quot;-&quot;????_);_(@_)"/>
    <numFmt numFmtId="181" formatCode="_(* #,##0.0_);_(* \(#,##0.0\);_(* &quot;-&quot;?_);_(@_)"/>
    <numFmt numFmtId="182" formatCode="[$-409]dddd\,\ mmmm\ dd\,\ yyyy"/>
    <numFmt numFmtId="183" formatCode="[$-409]dd\-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1" fontId="0" fillId="0" borderId="0" xfId="15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15" applyNumberFormat="1" applyFont="1" applyAlignment="1">
      <alignment/>
    </xf>
    <xf numFmtId="43" fontId="0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170" fontId="0" fillId="0" borderId="2" xfId="17" applyBorder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15" fontId="0" fillId="0" borderId="0" xfId="0" applyNumberFormat="1" applyAlignment="1">
      <alignment/>
    </xf>
    <xf numFmtId="177" fontId="0" fillId="0" borderId="0" xfId="15" applyNumberFormat="1" applyFont="1" applyBorder="1" applyAlignment="1">
      <alignment/>
    </xf>
    <xf numFmtId="0" fontId="0" fillId="0" borderId="2" xfId="0" applyBorder="1" applyAlignment="1">
      <alignment/>
    </xf>
    <xf numFmtId="177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43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170" fontId="0" fillId="0" borderId="0" xfId="17" applyFont="1" applyAlignment="1">
      <alignment/>
    </xf>
    <xf numFmtId="171" fontId="0" fillId="0" borderId="0" xfId="15" applyFont="1" applyAlignment="1">
      <alignment/>
    </xf>
    <xf numFmtId="175" fontId="0" fillId="0" borderId="1" xfId="15" applyNumberFormat="1" applyFont="1" applyBorder="1" applyAlignment="1">
      <alignment/>
    </xf>
    <xf numFmtId="171" fontId="0" fillId="0" borderId="0" xfId="15" applyFont="1" applyBorder="1" applyAlignment="1">
      <alignment/>
    </xf>
    <xf numFmtId="171" fontId="0" fillId="0" borderId="1" xfId="15" applyFont="1" applyBorder="1" applyAlignment="1">
      <alignment/>
    </xf>
    <xf numFmtId="171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1" fontId="1" fillId="0" borderId="1" xfId="15" applyFont="1" applyBorder="1" applyAlignment="1">
      <alignment/>
    </xf>
    <xf numFmtId="0" fontId="0" fillId="0" borderId="0" xfId="0" applyFont="1" applyAlignment="1">
      <alignment/>
    </xf>
    <xf numFmtId="175" fontId="0" fillId="0" borderId="0" xfId="15" applyNumberFormat="1" applyFont="1" applyBorder="1" applyAlignment="1">
      <alignment/>
    </xf>
    <xf numFmtId="0" fontId="0" fillId="0" borderId="0" xfId="0" applyAlignment="1">
      <alignment horizontal="right"/>
    </xf>
    <xf numFmtId="171" fontId="0" fillId="0" borderId="0" xfId="15" applyAlignment="1">
      <alignment/>
    </xf>
    <xf numFmtId="179" fontId="0" fillId="0" borderId="0" xfId="17" applyNumberFormat="1" applyAlignment="1">
      <alignment/>
    </xf>
    <xf numFmtId="179" fontId="0" fillId="0" borderId="0" xfId="17" applyNumberFormat="1" applyBorder="1" applyAlignment="1">
      <alignment/>
    </xf>
    <xf numFmtId="171" fontId="0" fillId="0" borderId="0" xfId="15" applyAlignment="1">
      <alignment horizontal="center"/>
    </xf>
    <xf numFmtId="173" fontId="0" fillId="0" borderId="0" xfId="15" applyNumberFormat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Font="1" applyAlignment="1" quotePrefix="1">
      <alignment/>
    </xf>
    <xf numFmtId="179" fontId="0" fillId="0" borderId="2" xfId="17" applyNumberForma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112"/>
  <sheetViews>
    <sheetView workbookViewId="0" topLeftCell="C76">
      <selection activeCell="K93" sqref="C1:K93"/>
    </sheetView>
  </sheetViews>
  <sheetFormatPr defaultColWidth="9.140625" defaultRowHeight="12.75"/>
  <cols>
    <col min="3" max="3" width="3.421875" style="0" customWidth="1"/>
    <col min="4" max="4" width="2.7109375" style="0" customWidth="1"/>
    <col min="5" max="5" width="12.28125" style="0" bestFit="1" customWidth="1"/>
    <col min="6" max="6" width="10.57421875" style="0" customWidth="1"/>
    <col min="7" max="7" width="17.28125" style="0" customWidth="1"/>
    <col min="8" max="8" width="12.7109375" style="0" customWidth="1"/>
    <col min="9" max="9" width="13.140625" style="0" customWidth="1"/>
    <col min="10" max="10" width="16.7109375" style="0" customWidth="1"/>
    <col min="11" max="11" width="13.57421875" style="0" customWidth="1"/>
    <col min="13" max="13" width="12.7109375" style="0" customWidth="1"/>
  </cols>
  <sheetData>
    <row r="2" ht="12.75">
      <c r="K2" s="3" t="s">
        <v>113</v>
      </c>
    </row>
    <row r="3" spans="5:6" ht="12.75">
      <c r="E3" s="49" t="s">
        <v>73</v>
      </c>
      <c r="F3" s="49"/>
    </row>
    <row r="5" spans="3:11" ht="12.75">
      <c r="C5" s="47" t="s">
        <v>0</v>
      </c>
      <c r="D5" s="47"/>
      <c r="E5" s="47"/>
      <c r="F5" s="47"/>
      <c r="G5" s="47"/>
      <c r="H5" s="47"/>
      <c r="I5" s="47"/>
      <c r="J5" s="47"/>
      <c r="K5" s="47"/>
    </row>
    <row r="6" spans="3:11" ht="12.75">
      <c r="C6" s="47" t="s">
        <v>1</v>
      </c>
      <c r="D6" s="47"/>
      <c r="E6" s="47"/>
      <c r="F6" s="47"/>
      <c r="G6" s="47"/>
      <c r="H6" s="47"/>
      <c r="I6" s="47"/>
      <c r="J6" s="47"/>
      <c r="K6" s="47"/>
    </row>
    <row r="7" spans="3:11" ht="12.75">
      <c r="C7" s="47" t="s">
        <v>72</v>
      </c>
      <c r="D7" s="47"/>
      <c r="E7" s="47"/>
      <c r="F7" s="47"/>
      <c r="G7" s="47"/>
      <c r="H7" s="47"/>
      <c r="I7" s="47"/>
      <c r="J7" s="47"/>
      <c r="K7" s="47"/>
    </row>
    <row r="8" spans="3:9" ht="12.75">
      <c r="C8" s="3"/>
      <c r="D8" s="3"/>
      <c r="E8" s="3"/>
      <c r="F8" s="3"/>
      <c r="G8" s="3"/>
      <c r="H8" s="3"/>
      <c r="I8" s="3"/>
    </row>
    <row r="9" spans="3:11" ht="12.75">
      <c r="C9" s="47" t="s">
        <v>2</v>
      </c>
      <c r="D9" s="47"/>
      <c r="E9" s="47"/>
      <c r="F9" s="47"/>
      <c r="G9" s="47"/>
      <c r="H9" s="47"/>
      <c r="I9" s="47"/>
      <c r="J9" s="47"/>
      <c r="K9" s="47"/>
    </row>
    <row r="10" spans="3:11" ht="12.75">
      <c r="C10" s="47" t="s">
        <v>3</v>
      </c>
      <c r="D10" s="47"/>
      <c r="E10" s="47"/>
      <c r="F10" s="47"/>
      <c r="G10" s="47"/>
      <c r="H10" s="47"/>
      <c r="I10" s="47"/>
      <c r="J10" s="47"/>
      <c r="K10" s="47"/>
    </row>
    <row r="11" spans="3:11" ht="12.75">
      <c r="C11" s="48" t="s">
        <v>114</v>
      </c>
      <c r="D11" s="48"/>
      <c r="E11" s="48"/>
      <c r="F11" s="48"/>
      <c r="G11" s="48"/>
      <c r="H11" s="48"/>
      <c r="I11" s="48"/>
      <c r="J11" s="48"/>
      <c r="K11" s="48"/>
    </row>
    <row r="14" ht="12.75">
      <c r="C14" s="3" t="s">
        <v>4</v>
      </c>
    </row>
    <row r="15" ht="12.75">
      <c r="D15" s="5" t="s">
        <v>13</v>
      </c>
    </row>
    <row r="16" ht="12.75">
      <c r="D16" s="5"/>
    </row>
    <row r="17" spans="4:11" ht="12.75">
      <c r="D17" t="s">
        <v>5</v>
      </c>
      <c r="J17" s="4"/>
      <c r="K17" s="22">
        <v>110142.79</v>
      </c>
    </row>
    <row r="18" spans="4:11" ht="12.75">
      <c r="D18" t="s">
        <v>84</v>
      </c>
      <c r="J18" s="4"/>
      <c r="K18" s="23">
        <v>85159.44</v>
      </c>
    </row>
    <row r="19" spans="4:11" ht="12.75">
      <c r="D19" t="s">
        <v>26</v>
      </c>
      <c r="J19" s="4"/>
      <c r="K19" s="23">
        <v>123135.64</v>
      </c>
    </row>
    <row r="20" spans="4:11" ht="12.75">
      <c r="D20" t="s">
        <v>27</v>
      </c>
      <c r="J20" s="22">
        <v>8905.8</v>
      </c>
      <c r="K20" s="23"/>
    </row>
    <row r="21" spans="9:11" ht="12.75">
      <c r="I21" t="s">
        <v>12</v>
      </c>
      <c r="J21" s="24">
        <v>1.5558</v>
      </c>
      <c r="K21" s="23">
        <f>J20*J21</f>
        <v>13855.64364</v>
      </c>
    </row>
    <row r="22" spans="10:11" ht="12.75">
      <c r="J22" s="4"/>
      <c r="K22" s="4"/>
    </row>
    <row r="23" spans="4:11" ht="12.75">
      <c r="D23" t="s">
        <v>28</v>
      </c>
      <c r="J23" s="23">
        <v>2170.93</v>
      </c>
      <c r="K23" s="23"/>
    </row>
    <row r="24" spans="9:11" ht="12.75">
      <c r="I24" t="s">
        <v>12</v>
      </c>
      <c r="J24" s="24">
        <v>1.5516</v>
      </c>
      <c r="K24" s="23">
        <f>J23*J24</f>
        <v>3368.414988</v>
      </c>
    </row>
    <row r="25" spans="10:11" ht="12.75">
      <c r="J25" s="35"/>
      <c r="K25" s="23"/>
    </row>
    <row r="26" spans="4:11" ht="12.75">
      <c r="D26" t="s">
        <v>95</v>
      </c>
      <c r="J26" s="35"/>
      <c r="K26" s="23">
        <v>6000</v>
      </c>
    </row>
    <row r="27" spans="10:11" ht="12.75">
      <c r="J27" s="35"/>
      <c r="K27" s="23"/>
    </row>
    <row r="28" spans="4:11" ht="12.75">
      <c r="D28" t="s">
        <v>112</v>
      </c>
      <c r="J28" s="35"/>
      <c r="K28" s="23">
        <f>20000+1666.67</f>
        <v>21666.67</v>
      </c>
    </row>
    <row r="29" spans="10:11" ht="12.75">
      <c r="J29" s="35"/>
      <c r="K29" s="23"/>
    </row>
    <row r="30" spans="4:11" ht="12.75">
      <c r="D30" s="5" t="s">
        <v>14</v>
      </c>
      <c r="J30" s="23"/>
      <c r="K30" s="23"/>
    </row>
    <row r="31" spans="4:11" ht="12.75">
      <c r="D31" s="5"/>
      <c r="J31" s="23"/>
      <c r="K31" s="23"/>
    </row>
    <row r="32" spans="4:11" ht="12.75">
      <c r="D32" t="s">
        <v>25</v>
      </c>
      <c r="J32" s="4"/>
      <c r="K32" s="4"/>
    </row>
    <row r="33" spans="5:11" ht="12.75">
      <c r="E33" t="s">
        <v>6</v>
      </c>
      <c r="J33" s="25">
        <v>12975.48</v>
      </c>
      <c r="K33" s="4"/>
    </row>
    <row r="34" spans="5:11" ht="12.75">
      <c r="E34" t="s">
        <v>7</v>
      </c>
      <c r="J34" s="25">
        <v>49109.23</v>
      </c>
      <c r="K34" s="4"/>
    </row>
    <row r="35" spans="5:11" ht="12.75">
      <c r="E35" t="s">
        <v>8</v>
      </c>
      <c r="J35" s="25">
        <v>1309.95</v>
      </c>
      <c r="K35" s="4"/>
    </row>
    <row r="36" spans="5:11" ht="12.75">
      <c r="E36" t="s">
        <v>11</v>
      </c>
      <c r="J36" s="25">
        <f>1456.14*1.5558</f>
        <v>2265.4626120000003</v>
      </c>
      <c r="K36" s="4"/>
    </row>
    <row r="37" spans="5:11" ht="12.75">
      <c r="E37" t="s">
        <v>9</v>
      </c>
      <c r="J37" s="26">
        <v>2790</v>
      </c>
      <c r="K37" s="27">
        <f>SUM(J33:J37)</f>
        <v>68450.122612</v>
      </c>
    </row>
    <row r="38" spans="10:11" ht="12.75">
      <c r="J38" s="4"/>
      <c r="K38" s="4"/>
    </row>
    <row r="39" spans="4:11" ht="12.75">
      <c r="D39" s="4" t="s">
        <v>10</v>
      </c>
      <c r="J39" s="4"/>
      <c r="K39" s="4"/>
    </row>
    <row r="40" spans="5:11" ht="12.75">
      <c r="E40" t="s">
        <v>15</v>
      </c>
      <c r="J40" s="4"/>
      <c r="K40" s="23">
        <f>72000+16795.76</f>
        <v>88795.76</v>
      </c>
    </row>
    <row r="41" spans="10:11" ht="12.75">
      <c r="J41" s="4"/>
      <c r="K41" s="4"/>
    </row>
    <row r="42" spans="4:11" ht="12.75">
      <c r="D42" s="34" t="s">
        <v>24</v>
      </c>
      <c r="J42" s="4"/>
      <c r="K42" s="27">
        <f>(28475.03-16795.76-2790)+(428665.69-279199.15-72000-1309.95-49109.23-12975.48)+1507.6</f>
        <v>24468.749999999978</v>
      </c>
    </row>
    <row r="43" spans="10:11" ht="12.75">
      <c r="J43" s="4"/>
      <c r="K43" s="27"/>
    </row>
    <row r="44" spans="4:11" ht="12.75">
      <c r="D44" t="s">
        <v>93</v>
      </c>
      <c r="J44" s="4"/>
      <c r="K44" s="27">
        <v>50000</v>
      </c>
    </row>
    <row r="45" spans="10:11" ht="12.75">
      <c r="J45" s="4"/>
      <c r="K45" s="27"/>
    </row>
    <row r="46" spans="4:11" ht="12.75">
      <c r="D46" t="s">
        <v>83</v>
      </c>
      <c r="J46" s="4"/>
      <c r="K46" s="27">
        <v>279199.15</v>
      </c>
    </row>
    <row r="47" spans="10:11" ht="12.75">
      <c r="J47" s="4"/>
      <c r="K47" s="27"/>
    </row>
    <row r="48" spans="4:11" ht="12.75">
      <c r="D48" s="5" t="s">
        <v>30</v>
      </c>
      <c r="J48" s="4"/>
      <c r="K48" s="27"/>
    </row>
    <row r="49" spans="10:11" ht="12.75">
      <c r="J49" s="4"/>
      <c r="K49" s="27"/>
    </row>
    <row r="50" spans="4:11" ht="12.75">
      <c r="D50" s="4" t="s">
        <v>18</v>
      </c>
      <c r="J50" s="4"/>
      <c r="K50" s="4"/>
    </row>
    <row r="51" spans="5:11" ht="12.75">
      <c r="E51" t="s">
        <v>19</v>
      </c>
      <c r="J51" s="23">
        <f>13545</f>
        <v>13545</v>
      </c>
      <c r="K51" s="23"/>
    </row>
    <row r="52" spans="5:11" ht="12.75">
      <c r="E52" t="s">
        <v>20</v>
      </c>
      <c r="J52" s="7">
        <v>-2559.91</v>
      </c>
      <c r="K52" s="23"/>
    </row>
    <row r="53" spans="5:11" ht="12.75">
      <c r="E53" t="s">
        <v>23</v>
      </c>
      <c r="J53" s="7">
        <v>-1100</v>
      </c>
      <c r="K53" s="23"/>
    </row>
    <row r="54" spans="5:11" ht="12.75">
      <c r="E54" t="s">
        <v>21</v>
      </c>
      <c r="J54" s="8">
        <v>-1025</v>
      </c>
      <c r="K54" s="23">
        <f>SUM(J51:J54)</f>
        <v>8860.09</v>
      </c>
    </row>
    <row r="55" spans="10:11" ht="12.75">
      <c r="J55" s="4"/>
      <c r="K55" s="23"/>
    </row>
    <row r="56" spans="4:11" ht="12.75">
      <c r="D56" t="s">
        <v>16</v>
      </c>
      <c r="J56" s="4"/>
      <c r="K56" s="23">
        <f>376.51+1544.61+155.2</f>
        <v>2076.3199999999997</v>
      </c>
    </row>
    <row r="57" spans="4:11" ht="12.75">
      <c r="D57" t="s">
        <v>17</v>
      </c>
      <c r="J57" s="4"/>
      <c r="K57" s="23">
        <f>213.82+333.69+(0.05*1.5558)+75.87</f>
        <v>623.45779</v>
      </c>
    </row>
    <row r="58" spans="10:11" ht="12.75">
      <c r="J58" s="4"/>
      <c r="K58" s="23"/>
    </row>
    <row r="59" spans="4:11" ht="12.75">
      <c r="D59" t="s">
        <v>29</v>
      </c>
      <c r="J59" s="4"/>
      <c r="K59" s="8">
        <v>-4638.03</v>
      </c>
    </row>
    <row r="60" spans="3:11" ht="12.75">
      <c r="C60" s="9" t="s">
        <v>22</v>
      </c>
      <c r="K60" s="1">
        <f>SUM(K17:K59)</f>
        <v>881164.2190299999</v>
      </c>
    </row>
    <row r="61" ht="12.75">
      <c r="K61" s="1"/>
    </row>
    <row r="62" ht="12.75">
      <c r="K62" s="1"/>
    </row>
    <row r="63" spans="3:11" ht="12.75">
      <c r="C63" s="3" t="s">
        <v>31</v>
      </c>
      <c r="K63" s="1"/>
    </row>
    <row r="64" spans="4:11" ht="12.75">
      <c r="D64" t="s">
        <v>111</v>
      </c>
      <c r="K64" s="23">
        <f>139197.42+55324+78879.3+(21666.67-1417.45)</f>
        <v>293649.94</v>
      </c>
    </row>
    <row r="65" spans="4:11" ht="12.75">
      <c r="D65" t="s">
        <v>47</v>
      </c>
      <c r="K65" s="23">
        <f>79020.12+100000+79954.4</f>
        <v>258974.52</v>
      </c>
    </row>
    <row r="66" spans="4:11" ht="12.75">
      <c r="D66" t="s">
        <v>39</v>
      </c>
      <c r="K66" s="23">
        <v>54492.95</v>
      </c>
    </row>
    <row r="67" spans="4:11" ht="12.75">
      <c r="D67" t="s">
        <v>40</v>
      </c>
      <c r="K67" s="23">
        <f>(3872.68+5516.01)+(5521.55+53.42)+(262.64+9975.11+9743.83+13086.46)+185.89+100.4+1417.45</f>
        <v>49735.439999999995</v>
      </c>
    </row>
    <row r="68" spans="4:11" ht="12.75">
      <c r="D68" t="s">
        <v>92</v>
      </c>
      <c r="K68" s="23">
        <f>19100+10000+15600</f>
        <v>44700</v>
      </c>
    </row>
    <row r="69" spans="4:11" ht="12.75">
      <c r="D69" t="s">
        <v>42</v>
      </c>
      <c r="K69" s="23">
        <v>17317.76</v>
      </c>
    </row>
    <row r="70" spans="4:11" ht="12.75">
      <c r="D70" t="s">
        <v>43</v>
      </c>
      <c r="K70" s="23">
        <f>9487.26+3903.58</f>
        <v>13390.84</v>
      </c>
    </row>
    <row r="71" spans="4:11" ht="12.75">
      <c r="D71" t="s">
        <v>74</v>
      </c>
      <c r="K71" s="23">
        <f>10485.22+1395.33+1327.82+1381.83+1341.32+1314.32+1314.32+1246.82+1354.82+1300.82+1434.29</f>
        <v>23896.91</v>
      </c>
    </row>
    <row r="72" spans="4:11" ht="12.75">
      <c r="D72" t="s">
        <v>37</v>
      </c>
      <c r="K72" s="23">
        <f>6718.4+490+420</f>
        <v>7628.4</v>
      </c>
    </row>
    <row r="73" spans="4:11" ht="12.75">
      <c r="D73" t="s">
        <v>45</v>
      </c>
      <c r="K73" s="23">
        <f>321.06+150+1667.11+1280+2720+483.51</f>
        <v>6621.68</v>
      </c>
    </row>
    <row r="74" spans="4:11" ht="12.75">
      <c r="D74" t="s">
        <v>70</v>
      </c>
      <c r="K74" s="23">
        <f>1850.92+1549.73+181.95+2401.12</f>
        <v>5983.719999999999</v>
      </c>
    </row>
    <row r="75" spans="4:11" ht="12.75">
      <c r="D75" t="s">
        <v>87</v>
      </c>
      <c r="K75" s="23">
        <f>4228.7+1526.14</f>
        <v>5754.84</v>
      </c>
    </row>
    <row r="76" spans="4:11" ht="12.75">
      <c r="D76" t="s">
        <v>34</v>
      </c>
      <c r="K76" s="23">
        <f>130+2138.84</f>
        <v>2268.84</v>
      </c>
    </row>
    <row r="77" spans="4:11" ht="12.75">
      <c r="D77" t="s">
        <v>35</v>
      </c>
      <c r="K77" s="23">
        <f>1640+417.5</f>
        <v>2057.5</v>
      </c>
    </row>
    <row r="78" spans="4:11" ht="12.75">
      <c r="D78" t="s">
        <v>46</v>
      </c>
      <c r="K78" s="23">
        <f>1461</f>
        <v>1461</v>
      </c>
    </row>
    <row r="79" spans="4:11" ht="12.75">
      <c r="D79" t="s">
        <v>69</v>
      </c>
      <c r="K79" s="23">
        <f>600+300+300</f>
        <v>1200</v>
      </c>
    </row>
    <row r="80" spans="4:11" ht="12.75">
      <c r="D80" t="s">
        <v>36</v>
      </c>
      <c r="K80" s="23">
        <v>850</v>
      </c>
    </row>
    <row r="81" spans="4:11" ht="12.75">
      <c r="D81" t="s">
        <v>41</v>
      </c>
      <c r="K81" s="23">
        <f>589.79+178.02</f>
        <v>767.81</v>
      </c>
    </row>
    <row r="82" spans="4:11" ht="12.75">
      <c r="D82" t="s">
        <v>38</v>
      </c>
      <c r="K82" s="23">
        <f>123.25+560.21</f>
        <v>683.46</v>
      </c>
    </row>
    <row r="83" spans="4:11" ht="12.75">
      <c r="D83" t="s">
        <v>44</v>
      </c>
      <c r="K83" s="23">
        <f>258.28+(1.5516*46.95)+(1.5558*12)+39.92+17.81</f>
        <v>407.52722</v>
      </c>
    </row>
    <row r="84" spans="4:11" ht="12.75">
      <c r="D84" t="s">
        <v>48</v>
      </c>
      <c r="K84" s="23">
        <v>300</v>
      </c>
    </row>
    <row r="85" spans="4:11" ht="12.75">
      <c r="D85" t="s">
        <v>32</v>
      </c>
      <c r="K85" s="23">
        <v>238.5</v>
      </c>
    </row>
    <row r="86" spans="4:11" ht="12.75">
      <c r="D86" t="s">
        <v>85</v>
      </c>
      <c r="K86" s="25">
        <f>50+100</f>
        <v>150</v>
      </c>
    </row>
    <row r="87" spans="4:11" ht="12.75">
      <c r="D87" t="s">
        <v>33</v>
      </c>
      <c r="K87" s="25">
        <v>48.6</v>
      </c>
    </row>
    <row r="88" spans="4:11" ht="12.75">
      <c r="D88" t="s">
        <v>86</v>
      </c>
      <c r="K88" s="25">
        <v>25</v>
      </c>
    </row>
    <row r="89" ht="12.75">
      <c r="K89" s="33"/>
    </row>
    <row r="90" spans="3:11" ht="12.75">
      <c r="C90" s="9" t="s">
        <v>49</v>
      </c>
      <c r="K90" s="2">
        <f>SUM(K64:K89)</f>
        <v>792605.2372199999</v>
      </c>
    </row>
    <row r="92" spans="3:13" ht="13.5" thickBot="1">
      <c r="C92" s="3" t="s">
        <v>50</v>
      </c>
      <c r="K92" s="10">
        <f>K60-K90</f>
        <v>88558.98181000003</v>
      </c>
      <c r="M92" s="20"/>
    </row>
    <row r="93" ht="13.5" thickTop="1"/>
    <row r="101" ht="12.75" hidden="1"/>
    <row r="102" ht="12.75" hidden="1"/>
    <row r="103" ht="12.75" hidden="1"/>
    <row r="104" ht="12.75" hidden="1"/>
    <row r="105" ht="12.75" hidden="1"/>
    <row r="106" ht="12.75" hidden="1"/>
    <row r="112" ht="12.75">
      <c r="M112" s="1"/>
    </row>
  </sheetData>
  <mergeCells count="7">
    <mergeCell ref="C10:K10"/>
    <mergeCell ref="C11:K11"/>
    <mergeCell ref="C7:K7"/>
    <mergeCell ref="E3:F3"/>
    <mergeCell ref="C5:K5"/>
    <mergeCell ref="C6:K6"/>
    <mergeCell ref="C9:K9"/>
  </mergeCell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portrait" paperSize="5" scale="67" r:id="rId1"/>
  <rowBreaks count="1" manualBreakCount="1">
    <brk id="93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49"/>
  <sheetViews>
    <sheetView tabSelected="1" workbookViewId="0" topLeftCell="A1">
      <selection activeCell="L21" sqref="L21"/>
    </sheetView>
  </sheetViews>
  <sheetFormatPr defaultColWidth="9.140625" defaultRowHeight="12.75"/>
  <cols>
    <col min="3" max="3" width="3.421875" style="0" customWidth="1"/>
    <col min="4" max="4" width="2.7109375" style="0" customWidth="1"/>
    <col min="5" max="5" width="12.28125" style="0" bestFit="1" customWidth="1"/>
    <col min="6" max="6" width="10.57421875" style="0" customWidth="1"/>
    <col min="7" max="7" width="17.28125" style="0" customWidth="1"/>
    <col min="8" max="8" width="12.7109375" style="0" customWidth="1"/>
    <col min="9" max="9" width="13.140625" style="0" customWidth="1"/>
    <col min="10" max="10" width="16.7109375" style="0" customWidth="1"/>
    <col min="11" max="11" width="13.57421875" style="0" customWidth="1"/>
    <col min="12" max="12" width="10.421875" style="0" customWidth="1"/>
    <col min="13" max="13" width="12.7109375" style="0" customWidth="1"/>
  </cols>
  <sheetData>
    <row r="1" ht="12.75">
      <c r="C1" s="12" t="s">
        <v>51</v>
      </c>
    </row>
    <row r="2" ht="12.75">
      <c r="K2" s="20"/>
    </row>
    <row r="3" spans="4:5" ht="12.75">
      <c r="D3" t="s">
        <v>52</v>
      </c>
      <c r="E3" t="s">
        <v>110</v>
      </c>
    </row>
    <row r="4" ht="12.75">
      <c r="E4" s="11" t="s">
        <v>109</v>
      </c>
    </row>
    <row r="5" ht="12.75">
      <c r="E5" s="11"/>
    </row>
    <row r="6" spans="4:5" ht="12.75">
      <c r="D6" t="s">
        <v>53</v>
      </c>
      <c r="E6" t="s">
        <v>107</v>
      </c>
    </row>
    <row r="7" ht="12.75">
      <c r="E7" t="s">
        <v>108</v>
      </c>
    </row>
    <row r="8" ht="12.75" hidden="1"/>
    <row r="9" spans="4:5" ht="12.75" hidden="1">
      <c r="D9" t="s">
        <v>54</v>
      </c>
      <c r="E9" t="s">
        <v>55</v>
      </c>
    </row>
    <row r="10" ht="12.75" hidden="1">
      <c r="E10" t="s">
        <v>56</v>
      </c>
    </row>
    <row r="11" ht="12.75" hidden="1"/>
    <row r="12" spans="4:5" ht="12.75" hidden="1">
      <c r="D12" t="s">
        <v>57</v>
      </c>
      <c r="E12" t="s">
        <v>58</v>
      </c>
    </row>
    <row r="13" ht="12.75" hidden="1">
      <c r="E13" t="s">
        <v>59</v>
      </c>
    </row>
    <row r="14" ht="12.75">
      <c r="E14" s="21"/>
    </row>
    <row r="16" spans="4:5" ht="12.75">
      <c r="D16" t="s">
        <v>54</v>
      </c>
      <c r="E16" s="6" t="s">
        <v>68</v>
      </c>
    </row>
    <row r="17" ht="12.75">
      <c r="E17" s="6"/>
    </row>
    <row r="18" spans="5:12" ht="25.5">
      <c r="E18" s="18" t="s">
        <v>66</v>
      </c>
      <c r="F18" s="18"/>
      <c r="G18" s="19" t="s">
        <v>64</v>
      </c>
      <c r="H18" s="19" t="s">
        <v>61</v>
      </c>
      <c r="I18" s="19" t="s">
        <v>62</v>
      </c>
      <c r="J18" s="19" t="s">
        <v>63</v>
      </c>
      <c r="K18" s="28"/>
      <c r="L18" s="45" t="s">
        <v>115</v>
      </c>
    </row>
    <row r="19" spans="4:13" ht="12.75">
      <c r="D19" t="s">
        <v>91</v>
      </c>
      <c r="E19" t="s">
        <v>88</v>
      </c>
      <c r="G19" s="13" t="s">
        <v>96</v>
      </c>
      <c r="H19" s="14">
        <f>-(258290*L19)</f>
        <v>-334485.55</v>
      </c>
      <c r="I19" s="38">
        <f>614780*L19</f>
        <v>796140.1</v>
      </c>
      <c r="J19" s="38">
        <f aca="true" t="shared" si="0" ref="J19:J24">H19+I19</f>
        <v>461654.55</v>
      </c>
      <c r="K19" s="39"/>
      <c r="L19" s="46">
        <v>1.295</v>
      </c>
      <c r="M19" s="37"/>
    </row>
    <row r="20" spans="4:11" ht="12.75">
      <c r="D20" t="s">
        <v>91</v>
      </c>
      <c r="E20" t="s">
        <v>77</v>
      </c>
      <c r="G20" s="13" t="s">
        <v>96</v>
      </c>
      <c r="H20" s="40"/>
      <c r="I20" s="41">
        <f>4697*L19</f>
        <v>6082.615</v>
      </c>
      <c r="J20" s="41">
        <f t="shared" si="0"/>
        <v>6082.615</v>
      </c>
      <c r="K20" s="42"/>
    </row>
    <row r="21" spans="5:11" ht="12.75">
      <c r="E21" t="s">
        <v>76</v>
      </c>
      <c r="G21" s="13" t="s">
        <v>96</v>
      </c>
      <c r="H21" s="37"/>
      <c r="I21" s="41">
        <v>761170</v>
      </c>
      <c r="J21" s="41">
        <f t="shared" si="0"/>
        <v>761170</v>
      </c>
      <c r="K21" s="42"/>
    </row>
    <row r="22" spans="4:11" ht="12.75">
      <c r="D22" t="s">
        <v>90</v>
      </c>
      <c r="E22" t="s">
        <v>78</v>
      </c>
      <c r="G22" s="13" t="s">
        <v>96</v>
      </c>
      <c r="H22" s="14">
        <v>-2000000</v>
      </c>
      <c r="I22" s="41">
        <v>4954433</v>
      </c>
      <c r="J22" s="41">
        <f t="shared" si="0"/>
        <v>2954433</v>
      </c>
      <c r="K22" s="42"/>
    </row>
    <row r="23" spans="5:11" ht="12.75">
      <c r="E23" t="s">
        <v>79</v>
      </c>
      <c r="G23" s="13" t="s">
        <v>96</v>
      </c>
      <c r="H23" s="14"/>
      <c r="I23" s="43">
        <v>12591.59</v>
      </c>
      <c r="J23" s="41">
        <f t="shared" si="0"/>
        <v>12591.59</v>
      </c>
      <c r="K23" s="42"/>
    </row>
    <row r="24" spans="4:11" ht="12.75">
      <c r="D24" t="s">
        <v>91</v>
      </c>
      <c r="E24" t="s">
        <v>89</v>
      </c>
      <c r="G24" s="13" t="s">
        <v>96</v>
      </c>
      <c r="H24" s="37"/>
      <c r="I24" s="41">
        <f>39000*L19</f>
        <v>50505</v>
      </c>
      <c r="J24" s="41">
        <f t="shared" si="0"/>
        <v>50505</v>
      </c>
      <c r="K24" s="42"/>
    </row>
    <row r="25" spans="5:11" ht="13.5" thickBot="1">
      <c r="E25" s="17" t="s">
        <v>65</v>
      </c>
      <c r="F25" s="15"/>
      <c r="G25" s="15"/>
      <c r="H25" s="16">
        <f>SUM(H19:H24)</f>
        <v>-2334485.55</v>
      </c>
      <c r="I25" s="44">
        <f>SUM(I19:I24)</f>
        <v>6580922.305</v>
      </c>
      <c r="J25" s="44">
        <f>SUM(J19:J24)</f>
        <v>4246436.755</v>
      </c>
      <c r="K25" s="39"/>
    </row>
    <row r="26" spans="5:11" ht="13.5" thickTop="1">
      <c r="E26" s="29"/>
      <c r="F26" s="30"/>
      <c r="G26" s="30"/>
      <c r="H26" s="31"/>
      <c r="I26" s="39"/>
      <c r="J26" s="39"/>
      <c r="K26" s="39"/>
    </row>
    <row r="27" spans="5:11" ht="12.75">
      <c r="E27" s="36" t="s">
        <v>90</v>
      </c>
      <c r="F27" s="32" t="s">
        <v>94</v>
      </c>
      <c r="G27" s="30"/>
      <c r="H27" s="31"/>
      <c r="I27" s="39"/>
      <c r="J27" s="39"/>
      <c r="K27" s="39"/>
    </row>
    <row r="29" spans="5:6" ht="12.75">
      <c r="E29" s="36" t="s">
        <v>91</v>
      </c>
      <c r="F29" t="s">
        <v>97</v>
      </c>
    </row>
    <row r="31" spans="4:5" ht="12.75">
      <c r="D31" t="s">
        <v>57</v>
      </c>
      <c r="E31" t="s">
        <v>67</v>
      </c>
    </row>
    <row r="32" ht="12.75">
      <c r="E32" t="s">
        <v>103</v>
      </c>
    </row>
    <row r="33" ht="12.75">
      <c r="E33" t="s">
        <v>102</v>
      </c>
    </row>
    <row r="35" spans="4:5" ht="12.75">
      <c r="D35" t="s">
        <v>60</v>
      </c>
      <c r="E35" t="s">
        <v>98</v>
      </c>
    </row>
    <row r="36" ht="12.75">
      <c r="E36" t="s">
        <v>104</v>
      </c>
    </row>
    <row r="37" ht="12.75">
      <c r="E37" t="s">
        <v>99</v>
      </c>
    </row>
    <row r="38" ht="12.75">
      <c r="E38" t="s">
        <v>100</v>
      </c>
    </row>
    <row r="40" spans="4:5" ht="12.75">
      <c r="D40" t="s">
        <v>75</v>
      </c>
      <c r="E40" t="s">
        <v>81</v>
      </c>
    </row>
    <row r="41" ht="12.75">
      <c r="E41" t="s">
        <v>80</v>
      </c>
    </row>
    <row r="42" ht="12.75">
      <c r="E42" t="s">
        <v>71</v>
      </c>
    </row>
    <row r="44" spans="4:5" ht="12.75">
      <c r="D44" t="s">
        <v>101</v>
      </c>
      <c r="E44" t="s">
        <v>106</v>
      </c>
    </row>
    <row r="45" ht="12.75">
      <c r="E45" t="s">
        <v>105</v>
      </c>
    </row>
    <row r="46" ht="12.75">
      <c r="E46" t="s">
        <v>82</v>
      </c>
    </row>
    <row r="49" ht="12.75">
      <c r="E49" s="4"/>
    </row>
  </sheetData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BDO DUNWOODY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McKenzie</dc:creator>
  <cp:keywords/>
  <dc:description/>
  <cp:lastModifiedBy>gcerrato</cp:lastModifiedBy>
  <cp:lastPrinted>2004-01-21T16:36:22Z</cp:lastPrinted>
  <dcterms:created xsi:type="dcterms:W3CDTF">2002-06-12T13:23:07Z</dcterms:created>
  <dcterms:modified xsi:type="dcterms:W3CDTF">2004-02-04T15:57:21Z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-628626929</vt:i4>
  </property>
  <property fmtid="{D5CDD505-2E9C-101B-9397-08002B2CF9AE}" pid="3" name="_EmailSubject">
    <vt:lpwstr>Buckingham</vt:lpwstr>
  </property>
  <property fmtid="{D5CDD505-2E9C-101B-9397-08002B2CF9AE}" pid="4" name="_AuthorEmail">
    <vt:lpwstr>GCabral@bdo.ca</vt:lpwstr>
  </property>
  <property fmtid="{D5CDD505-2E9C-101B-9397-08002B2CF9AE}" pid="5" name="_AuthorEmailDisplayName">
    <vt:lpwstr>Cabral, Goody</vt:lpwstr>
  </property>
  <property fmtid="{D5CDD505-2E9C-101B-9397-08002B2CF9AE}" pid="6" name="_PreviousAdHocReviewCycleID">
    <vt:i4>-515128199</vt:i4>
  </property>
</Properties>
</file>